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0" windowWidth="20490" windowHeight="7155" tabRatio="568"/>
  </bookViews>
  <sheets>
    <sheet name="RECAP 2019" sheetId="36" r:id="rId1"/>
    <sheet name="Plan2" sheetId="34" r:id="rId2"/>
  </sheets>
  <calcPr calcId="145621"/>
</workbook>
</file>

<file path=xl/calcChain.xml><?xml version="1.0" encoding="utf-8"?>
<calcChain xmlns="http://schemas.openxmlformats.org/spreadsheetml/2006/main">
  <c r="F20" i="36" l="1"/>
  <c r="F19" i="36"/>
  <c r="F18" i="36"/>
  <c r="F17" i="36"/>
  <c r="F16" i="36"/>
  <c r="F15" i="36"/>
  <c r="F14" i="36"/>
  <c r="F11" i="36"/>
  <c r="F10" i="36"/>
  <c r="F8" i="36"/>
  <c r="F7" i="36"/>
  <c r="I21" i="36" l="1"/>
  <c r="I7" i="36"/>
  <c r="H7" i="36"/>
  <c r="J7" i="36" s="1"/>
  <c r="H21" i="36"/>
  <c r="J21" i="36" s="1"/>
  <c r="H20" i="36"/>
  <c r="H19" i="36"/>
  <c r="H18" i="36"/>
  <c r="H17" i="36"/>
  <c r="H16" i="36"/>
  <c r="H15" i="36"/>
  <c r="H14" i="36"/>
  <c r="H12" i="36"/>
  <c r="H11" i="36"/>
  <c r="H10" i="36"/>
  <c r="H9" i="36"/>
  <c r="H8" i="36"/>
  <c r="F9" i="36" l="1"/>
  <c r="I17" i="36" l="1"/>
  <c r="J17" i="36"/>
  <c r="J20" i="36"/>
  <c r="I20" i="36"/>
  <c r="I16" i="36"/>
  <c r="J16" i="36"/>
  <c r="I14" i="36"/>
  <c r="J14" i="36"/>
  <c r="I18" i="36"/>
  <c r="J18" i="36"/>
  <c r="I19" i="36"/>
  <c r="J19" i="36"/>
  <c r="J9" i="36"/>
  <c r="I9" i="36"/>
  <c r="I15" i="36"/>
  <c r="J15" i="36"/>
  <c r="I10" i="36" l="1"/>
  <c r="J10" i="36"/>
  <c r="G37" i="36"/>
  <c r="J8" i="36" l="1"/>
  <c r="I8" i="36"/>
  <c r="I13" i="36"/>
  <c r="F12" i="36" l="1"/>
  <c r="I11" i="36"/>
  <c r="J11" i="36"/>
  <c r="E9" i="34"/>
  <c r="E8" i="34"/>
  <c r="E7" i="34"/>
  <c r="E6" i="34"/>
  <c r="E5" i="34"/>
  <c r="I12" i="36" l="1"/>
  <c r="I6" i="36" s="1"/>
  <c r="I22" i="36" s="1"/>
  <c r="J12" i="36"/>
  <c r="J6" i="36" s="1"/>
  <c r="J13" i="36"/>
  <c r="J22" i="36" l="1"/>
</calcChain>
</file>

<file path=xl/sharedStrings.xml><?xml version="1.0" encoding="utf-8"?>
<sst xmlns="http://schemas.openxmlformats.org/spreadsheetml/2006/main" count="94" uniqueCount="74">
  <si>
    <t>ITEM</t>
  </si>
  <si>
    <t>SERVIÇOS</t>
  </si>
  <si>
    <t>UNID.</t>
  </si>
  <si>
    <t>QUANT. A EXECUTAR</t>
  </si>
  <si>
    <t>TOTAL GERAL</t>
  </si>
  <si>
    <t>CÓDIGO</t>
  </si>
  <si>
    <t>FONTE</t>
  </si>
  <si>
    <t>PREÇO UNIT. SEM BDI</t>
  </si>
  <si>
    <t>PREÇO A EXECUTAR SEM BDI</t>
  </si>
  <si>
    <t>M</t>
  </si>
  <si>
    <t>M2</t>
  </si>
  <si>
    <t>M3</t>
  </si>
  <si>
    <t>Planilha Orçamentária</t>
  </si>
  <si>
    <t xml:space="preserve">               </t>
  </si>
  <si>
    <t>RINALDO LIMA OLIVEIRA</t>
  </si>
  <si>
    <t>SECRETÁRIO MUNICIPAL DE INFRAESTRUTURA, OBRAS E SERVIÇOS PÚBLICOS</t>
  </si>
  <si>
    <t>RODRIGO TEIXEIRA DE OLIVEIRA</t>
  </si>
  <si>
    <t xml:space="preserve">GERENTE DE INFRAESTRUTURA </t>
  </si>
  <si>
    <t>CREA 5062990258</t>
  </si>
  <si>
    <t>PREÇO UNIT. COM BDI 24,23%</t>
  </si>
  <si>
    <t>PREÇO A EXECUTAR COM BDI 24,23%</t>
  </si>
  <si>
    <t>REFORÇO DO SUB-LEITO (EXECUÇÃO, INCLUINDO ESCAVAÇÃO, CARGA, DESCARGA, HOMOGENIZAÇÃO, UMIDECIMENTO, ESPALHAMENTO E COMPACTAÇÃO DO MATERIAL)</t>
  </si>
  <si>
    <t>OBR-VIA-135</t>
  </si>
  <si>
    <t>SETOP - JUL/18</t>
  </si>
  <si>
    <t>CORTE MECAN. C/ SERRA CIRCULAR EM CONCRETO/ASFALTO</t>
  </si>
  <si>
    <t>02.12.01</t>
  </si>
  <si>
    <t>DEMOLIÇÃO DE REVESTIMENTO ASFÁLTICO COM EQUIPAMENTO PNEUMÁTICO, INCLUSIVE AFASTAMENTO</t>
  </si>
  <si>
    <t>DEM-PIS-070</t>
  </si>
  <si>
    <t>74010/001</t>
  </si>
  <si>
    <t>SINAPI - OUT/18</t>
  </si>
  <si>
    <t>CARGA E DESCARGA MECANICA DE SOLO UTILIZANDO CAMINHAO BASCULANTE 6,0M3 /16T E PA CARREGADEIRA SOBRE PNEUS 128 HP, CAPACIDADE DA CAÇAMBA 1,7 A 2,8 M3, PESO OPERACIONAL 11632 KG</t>
  </si>
  <si>
    <t>TRANSPORTE COM CAMINHÃO BASCULANTE DE 6 M3, EM VIA URBANA PAVIMENTADA DMT ATÉ 30 KM</t>
  </si>
  <si>
    <t>M3XKM</t>
  </si>
  <si>
    <t>FRESAGEM</t>
  </si>
  <si>
    <t>20.20.01</t>
  </si>
  <si>
    <t>EXECUÇÃO E COMPACTAÇÃO DE BASE E OU SUB BASE COM PEDRA RACHÃO - EXCLUSIVE ESCAVAÇÃO, CARGA E TRANSPORTE</t>
  </si>
  <si>
    <t>EXECUÇÃO E COMPACTAÇÃO DE BASE E OU SUB BASE COM BRITA GRADUADA SIMPLES - EXCLUSIVE CARGA E TRANSPORTE</t>
  </si>
  <si>
    <t>IMPRIMAÇÃO (EXECUÇÃO, INCLUINDO FORNECIMENTO E TRANSPORTE DO MATERIAL BETUMINOSO)</t>
  </si>
  <si>
    <t>OBR-VIA-160</t>
  </si>
  <si>
    <t>EXECUÇÃO DE IMPRIMAÇÃO LIGANTE COM EMULSÃO ASFÁLTICA RR-2C</t>
  </si>
  <si>
    <t>TON.</t>
  </si>
  <si>
    <t>CONSTRUÇÃO DE PAVIMENTO COM APLICAÇÃO DE CBUQ, CAMADA DE ROLAMENTO, FAIXA C, COM CAP 50/70 - INCLUSIVE TRANSPORTE PARA OBRA</t>
  </si>
  <si>
    <t>20.13.05</t>
  </si>
  <si>
    <t>PAVIMENTAÇÃO</t>
  </si>
  <si>
    <t>M²</t>
  </si>
  <si>
    <t>DIA</t>
  </si>
  <si>
    <t>TOTAL</t>
  </si>
  <si>
    <t>PAV</t>
  </si>
  <si>
    <t>BASE</t>
  </si>
  <si>
    <t>RO-43273</t>
  </si>
  <si>
    <t>EXECUÇÃO DE FAIXA ELEVADA CONFORME RESOLUÇÃO 738 CONTRAN DE 06/09/18 - APLICAÇÃO DA MASSA ASFALTICA (EXECUÇÃO, INCLUINDO PINTURA DE LIGAÇÃO)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</si>
  <si>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</si>
  <si>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</si>
  <si>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</si>
  <si>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</si>
  <si>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</si>
  <si>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</si>
  <si>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</si>
  <si>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</si>
  <si>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</si>
  <si>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</si>
  <si>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</si>
  <si>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</si>
  <si>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</si>
  <si>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</si>
  <si>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FRESAGEM ATÉ 5,0 CM</t>
  </si>
  <si>
    <t>ESCAVAÇÃO, DEMOLIÇÃO, FRESAGEME E TRANSPORTE</t>
  </si>
  <si>
    <t>SUDECAP - OUT/18</t>
  </si>
  <si>
    <t>Base de Preços: SINAPI OUT/18, SETOP JUL/18 E SUDECAP OUT/18</t>
  </si>
  <si>
    <t>20.13.11</t>
  </si>
  <si>
    <t>CONSTRUÇÃO DE PAVIMENTO COM APLICAÇÃO DE CONCRETO BETUMINOSO USINADO A QUENTE (CBUQ), BINDER, COM ESPESSURA DE 5,0 CM - INCLUSIVE TRANSPORTE PARA OBRA</t>
  </si>
  <si>
    <t>Data: 02/01/2019</t>
  </si>
  <si>
    <t>OBRA:  Serviços de recomposição e manutenção asfáltica de vias do Município de Pouso Alegre - MG - (RECAP 2019)</t>
  </si>
  <si>
    <t>ESCAVAÇÃO MECÂNICA, EM MATERIAL DE 1A CATEGORIA , COM ESCAVADEIRA HIDRAULICA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</si>
</sst>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/>
    <xf numFmtId="0" fontId="4" fillId="5" borderId="16" xfId="0" applyFont="1" applyFill="1" applyBorder="1" applyAlignment="1">
      <alignment horizontal="center" vertical="center"/>
    </xf>
    <xf numFmtId="0" fontId="0" fillId="5" borderId="17" xfId="0" applyFill="1" applyBorder="1"/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" fontId="2" fillId="5" borderId="19" xfId="0" applyNumberFormat="1" applyFont="1" applyFill="1" applyBorder="1" applyAlignment="1">
      <alignment horizontal="right"/>
    </xf>
    <xf numFmtId="0" fontId="0" fillId="5" borderId="23" xfId="0" applyFill="1" applyBorder="1"/>
    <xf numFmtId="0" fontId="4" fillId="5" borderId="23" xfId="0" applyFont="1" applyFill="1" applyBorder="1" applyAlignment="1">
      <alignment horizontal="right"/>
    </xf>
    <xf numFmtId="4" fontId="2" fillId="5" borderId="23" xfId="0" applyNumberFormat="1" applyFont="1" applyFill="1" applyBorder="1" applyAlignment="1">
      <alignment horizontal="right"/>
    </xf>
    <xf numFmtId="0" fontId="0" fillId="5" borderId="23" xfId="0" applyFill="1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3" fontId="4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0" applyNumberFormat="1" applyFont="1"/>
    <xf numFmtId="0" fontId="2" fillId="4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center"/>
    </xf>
    <xf numFmtId="4" fontId="0" fillId="5" borderId="14" xfId="0" applyNumberFormat="1" applyFill="1" applyBorder="1" applyAlignment="1">
      <alignment horizontal="center"/>
    </xf>
    <xf numFmtId="2" fontId="0" fillId="5" borderId="1" xfId="2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8" fillId="5" borderId="1" xfId="2" applyNumberFormat="1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27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2" fontId="9" fillId="5" borderId="1" xfId="2" applyNumberFormat="1" applyFont="1" applyFill="1" applyBorder="1" applyAlignment="1">
      <alignment horizontal="center" wrapText="1"/>
    </xf>
    <xf numFmtId="2" fontId="10" fillId="5" borderId="1" xfId="2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/>
    </xf>
    <xf numFmtId="4" fontId="10" fillId="5" borderId="1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3" fontId="0" fillId="5" borderId="1" xfId="0" applyNumberForma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/>
    <xf numFmtId="0" fontId="4" fillId="2" borderId="2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9</xdr:col>
      <xdr:colOff>962025</xdr:colOff>
      <xdr:row>1</xdr:row>
      <xdr:rowOff>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0"/>
          <a:ext cx="11134726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33618</xdr:colOff>
      <xdr:row>26</xdr:row>
      <xdr:rowOff>19050</xdr:rowOff>
    </xdr:from>
    <xdr:to>
      <xdr:col>9</xdr:col>
      <xdr:colOff>962025</xdr:colOff>
      <xdr:row>32</xdr:row>
      <xdr:rowOff>5043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18" y="14658975"/>
          <a:ext cx="11120157" cy="112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EV44"/>
  <sheetViews>
    <sheetView tabSelected="1" topLeftCell="A11" zoomScaleNormal="100" workbookViewId="0">
      <selection activeCell="O20" sqref="O20"/>
    </sheetView>
  </sheetViews>
  <sheetFormatPr defaultRowHeight="15" x14ac:dyDescent="0.25"/>
  <cols>
    <col min="1" max="1" width="5.5703125" bestFit="1" customWidth="1"/>
    <col min="2" max="2" width="13" customWidth="1"/>
    <col min="3" max="3" width="18.85546875" bestFit="1" customWidth="1"/>
    <col min="4" max="4" width="52.140625" customWidth="1"/>
    <col min="5" max="5" width="8.5703125" style="1" customWidth="1"/>
    <col min="6" max="6" width="16" style="1" customWidth="1"/>
    <col min="7" max="7" width="11.7109375" bestFit="1" customWidth="1"/>
    <col min="8" max="8" width="11.85546875" bestFit="1" customWidth="1"/>
    <col min="9" max="10" width="15.140625" bestFit="1" customWidth="1"/>
    <col min="11" max="11" width="6.28515625" customWidth="1"/>
    <col min="12" max="12" width="9.140625" hidden="1" customWidth="1"/>
    <col min="13" max="13" width="16.28515625" hidden="1" customWidth="1"/>
    <col min="14" max="14" width="15.7109375" hidden="1" customWidth="1"/>
    <col min="15" max="15" width="18.140625" customWidth="1"/>
  </cols>
  <sheetData>
    <row r="1" spans="1:16376" ht="141.75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2"/>
      <c r="L1" t="s">
        <v>46</v>
      </c>
      <c r="M1" s="23">
        <v>150000</v>
      </c>
      <c r="N1" t="s">
        <v>47</v>
      </c>
    </row>
    <row r="2" spans="1:16376" ht="22.5" customHeight="1" x14ac:dyDescent="0.3">
      <c r="A2" s="73" t="s">
        <v>72</v>
      </c>
      <c r="B2" s="74"/>
      <c r="C2" s="74"/>
      <c r="D2" s="75"/>
      <c r="E2" s="75"/>
      <c r="F2" s="75"/>
      <c r="G2" s="75"/>
      <c r="H2" s="75"/>
      <c r="I2" s="75"/>
      <c r="J2" s="76"/>
      <c r="M2" s="23">
        <v>60000</v>
      </c>
      <c r="N2" t="s">
        <v>48</v>
      </c>
    </row>
    <row r="3" spans="1:16376" ht="21.75" customHeight="1" x14ac:dyDescent="0.3">
      <c r="A3" s="77" t="s">
        <v>68</v>
      </c>
      <c r="B3" s="75"/>
      <c r="C3" s="75"/>
      <c r="D3" s="75"/>
      <c r="E3" s="75"/>
      <c r="F3" s="75"/>
      <c r="G3" s="75"/>
      <c r="H3" s="75"/>
      <c r="I3" s="75"/>
      <c r="J3" s="76"/>
      <c r="M3" s="23">
        <v>150000</v>
      </c>
      <c r="N3" t="s">
        <v>33</v>
      </c>
    </row>
    <row r="4" spans="1:16376" ht="21.75" customHeight="1" x14ac:dyDescent="0.3">
      <c r="A4" s="77" t="s">
        <v>12</v>
      </c>
      <c r="B4" s="75"/>
      <c r="C4" s="75"/>
      <c r="D4" s="75"/>
      <c r="E4" s="75"/>
      <c r="F4" s="75"/>
      <c r="G4" s="75"/>
      <c r="H4" s="78"/>
      <c r="I4" s="79" t="s">
        <v>71</v>
      </c>
      <c r="J4" s="76"/>
    </row>
    <row r="5" spans="1:16376" ht="44.25" customHeight="1" x14ac:dyDescent="0.25">
      <c r="A5" s="16" t="s">
        <v>0</v>
      </c>
      <c r="B5" s="17" t="s">
        <v>5</v>
      </c>
      <c r="C5" s="17" t="s">
        <v>6</v>
      </c>
      <c r="D5" s="17" t="s">
        <v>1</v>
      </c>
      <c r="E5" s="17" t="s">
        <v>2</v>
      </c>
      <c r="F5" s="18" t="s">
        <v>3</v>
      </c>
      <c r="G5" s="18" t="s">
        <v>7</v>
      </c>
      <c r="H5" s="18" t="s">
        <v>19</v>
      </c>
      <c r="I5" s="18" t="s">
        <v>8</v>
      </c>
      <c r="J5" s="19" t="s">
        <v>20</v>
      </c>
    </row>
    <row r="6" spans="1:16376" ht="24.75" customHeight="1" x14ac:dyDescent="0.25">
      <c r="A6" s="29">
        <v>1</v>
      </c>
      <c r="B6" s="21"/>
      <c r="C6" s="21"/>
      <c r="D6" s="88" t="s">
        <v>66</v>
      </c>
      <c r="E6" s="89"/>
      <c r="F6" s="22"/>
      <c r="G6" s="22"/>
      <c r="H6" s="22"/>
      <c r="I6" s="41">
        <f>SUM(I7:I12)</f>
        <v>2027361.0099999998</v>
      </c>
      <c r="J6" s="42">
        <f>SUM(J7:J12)</f>
        <v>2519206.39</v>
      </c>
    </row>
    <row r="7" spans="1:16376" s="3" customFormat="1" ht="30" x14ac:dyDescent="0.25">
      <c r="A7" s="2" t="s">
        <v>51</v>
      </c>
      <c r="B7" s="34">
        <v>83336</v>
      </c>
      <c r="C7" s="34" t="s">
        <v>29</v>
      </c>
      <c r="D7" s="13" t="s">
        <v>73</v>
      </c>
      <c r="E7" s="31" t="s">
        <v>11</v>
      </c>
      <c r="F7" s="55">
        <f>20000/2</f>
        <v>10000</v>
      </c>
      <c r="G7" s="38">
        <v>4.04</v>
      </c>
      <c r="H7" s="38">
        <f>ROUND(G7*1.2423,2)</f>
        <v>5.0199999999999996</v>
      </c>
      <c r="I7" s="36">
        <f>ROUND(F7*G7,2)</f>
        <v>40400</v>
      </c>
      <c r="J7" s="37">
        <f>ROUND(F7*H7,2)</f>
        <v>50200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</row>
    <row r="8" spans="1:16376" ht="47.25" x14ac:dyDescent="0.25">
      <c r="A8" s="2" t="s">
        <v>52</v>
      </c>
      <c r="B8" s="34" t="s">
        <v>27</v>
      </c>
      <c r="C8" s="34" t="s">
        <v>23</v>
      </c>
      <c r="D8" s="14" t="s">
        <v>26</v>
      </c>
      <c r="E8" s="31" t="s">
        <v>10</v>
      </c>
      <c r="F8" s="55">
        <f>(F10*0.5)/2</f>
        <v>7500</v>
      </c>
      <c r="G8" s="38">
        <v>7.54</v>
      </c>
      <c r="H8" s="38">
        <f t="shared" ref="H8:H21" si="0">ROUND(G8*1.2423,2)</f>
        <v>9.3699999999999992</v>
      </c>
      <c r="I8" s="36">
        <f t="shared" ref="I8:I21" si="1">ROUND(F8*G8,2)</f>
        <v>56550</v>
      </c>
      <c r="J8" s="37">
        <f t="shared" ref="J8:J21" si="2">ROUND(F8*H8,2)</f>
        <v>70275</v>
      </c>
    </row>
    <row r="9" spans="1:16376" ht="24.75" customHeight="1" x14ac:dyDescent="0.25">
      <c r="A9" s="2" t="s">
        <v>53</v>
      </c>
      <c r="B9" s="34" t="s">
        <v>34</v>
      </c>
      <c r="C9" s="34" t="s">
        <v>67</v>
      </c>
      <c r="D9" s="14" t="s">
        <v>65</v>
      </c>
      <c r="E9" s="31" t="s">
        <v>10</v>
      </c>
      <c r="F9" s="55">
        <f>M3</f>
        <v>150000</v>
      </c>
      <c r="G9" s="38">
        <v>8.65</v>
      </c>
      <c r="H9" s="38">
        <f t="shared" si="0"/>
        <v>10.75</v>
      </c>
      <c r="I9" s="36">
        <f t="shared" si="1"/>
        <v>1297500</v>
      </c>
      <c r="J9" s="37">
        <f t="shared" si="2"/>
        <v>1612500</v>
      </c>
    </row>
    <row r="10" spans="1:16376" ht="31.5" x14ac:dyDescent="0.25">
      <c r="A10" s="2" t="s">
        <v>54</v>
      </c>
      <c r="B10" s="34" t="s">
        <v>25</v>
      </c>
      <c r="C10" s="34" t="s">
        <v>67</v>
      </c>
      <c r="D10" s="14" t="s">
        <v>24</v>
      </c>
      <c r="E10" s="31" t="s">
        <v>9</v>
      </c>
      <c r="F10" s="55">
        <f>(F9/5*2)/2</f>
        <v>30000</v>
      </c>
      <c r="G10" s="38">
        <v>1.88</v>
      </c>
      <c r="H10" s="38">
        <f t="shared" si="0"/>
        <v>2.34</v>
      </c>
      <c r="I10" s="36">
        <f t="shared" si="1"/>
        <v>56400</v>
      </c>
      <c r="J10" s="37">
        <f t="shared" si="2"/>
        <v>70200</v>
      </c>
    </row>
    <row r="11" spans="1:16376" ht="78.75" x14ac:dyDescent="0.25">
      <c r="A11" s="2" t="s">
        <v>55</v>
      </c>
      <c r="B11" s="34" t="s">
        <v>28</v>
      </c>
      <c r="C11" s="34" t="s">
        <v>29</v>
      </c>
      <c r="D11" s="14" t="s">
        <v>30</v>
      </c>
      <c r="E11" s="31" t="s">
        <v>11</v>
      </c>
      <c r="F11" s="55">
        <f>((F9*0.05+F8*0.09+F7)*1.3)/2</f>
        <v>11813.75</v>
      </c>
      <c r="G11" s="38">
        <v>1.7</v>
      </c>
      <c r="H11" s="38">
        <f t="shared" si="0"/>
        <v>2.11</v>
      </c>
      <c r="I11" s="36">
        <f t="shared" si="1"/>
        <v>20083.38</v>
      </c>
      <c r="J11" s="37">
        <f t="shared" si="2"/>
        <v>24927.01</v>
      </c>
    </row>
    <row r="12" spans="1:16376" ht="31.5" x14ac:dyDescent="0.25">
      <c r="A12" s="2" t="s">
        <v>56</v>
      </c>
      <c r="B12" s="34">
        <v>97914</v>
      </c>
      <c r="C12" s="34" t="s">
        <v>29</v>
      </c>
      <c r="D12" s="14" t="s">
        <v>31</v>
      </c>
      <c r="E12" s="31" t="s">
        <v>32</v>
      </c>
      <c r="F12" s="55">
        <f>F11*30</f>
        <v>354412.5</v>
      </c>
      <c r="G12" s="38">
        <v>1.57</v>
      </c>
      <c r="H12" s="38">
        <f t="shared" si="0"/>
        <v>1.95</v>
      </c>
      <c r="I12" s="36">
        <f t="shared" si="1"/>
        <v>556427.63</v>
      </c>
      <c r="J12" s="37">
        <f t="shared" si="2"/>
        <v>691104.38</v>
      </c>
    </row>
    <row r="13" spans="1:16376" ht="24.75" customHeight="1" x14ac:dyDescent="0.25">
      <c r="A13" s="29">
        <v>2</v>
      </c>
      <c r="B13" s="32"/>
      <c r="C13" s="32"/>
      <c r="D13" s="53" t="s">
        <v>43</v>
      </c>
      <c r="E13" s="15"/>
      <c r="F13" s="20"/>
      <c r="G13" s="39"/>
      <c r="H13" s="39"/>
      <c r="I13" s="41">
        <f>SUM(I14:I21)</f>
        <v>9829896.25</v>
      </c>
      <c r="J13" s="42">
        <f>SUM(J14:J21)</f>
        <v>12211233.75</v>
      </c>
    </row>
    <row r="14" spans="1:16376" ht="63" x14ac:dyDescent="0.25">
      <c r="A14" s="30" t="s">
        <v>57</v>
      </c>
      <c r="B14" s="34" t="s">
        <v>22</v>
      </c>
      <c r="C14" s="34" t="s">
        <v>23</v>
      </c>
      <c r="D14" s="14" t="s">
        <v>21</v>
      </c>
      <c r="E14" s="31" t="s">
        <v>11</v>
      </c>
      <c r="F14" s="55">
        <f>(M2*0.5)/2</f>
        <v>15000</v>
      </c>
      <c r="G14" s="38">
        <v>10.06</v>
      </c>
      <c r="H14" s="38">
        <f t="shared" si="0"/>
        <v>12.5</v>
      </c>
      <c r="I14" s="36">
        <f t="shared" si="1"/>
        <v>150900</v>
      </c>
      <c r="J14" s="37">
        <f t="shared" si="2"/>
        <v>187500</v>
      </c>
    </row>
    <row r="15" spans="1:16376" ht="47.25" x14ac:dyDescent="0.25">
      <c r="A15" s="30" t="s">
        <v>58</v>
      </c>
      <c r="B15" s="34">
        <v>96399</v>
      </c>
      <c r="C15" s="34" t="s">
        <v>29</v>
      </c>
      <c r="D15" s="14" t="s">
        <v>35</v>
      </c>
      <c r="E15" s="31" t="s">
        <v>11</v>
      </c>
      <c r="F15" s="55">
        <f>(M2*0.3)/2</f>
        <v>9000</v>
      </c>
      <c r="G15" s="38">
        <v>84.19</v>
      </c>
      <c r="H15" s="38">
        <f t="shared" si="0"/>
        <v>104.59</v>
      </c>
      <c r="I15" s="36">
        <f t="shared" si="1"/>
        <v>757710</v>
      </c>
      <c r="J15" s="37">
        <f t="shared" si="2"/>
        <v>941310</v>
      </c>
      <c r="O15" s="54"/>
    </row>
    <row r="16" spans="1:16376" s="3" customFormat="1" ht="47.25" x14ac:dyDescent="0.25">
      <c r="A16" s="30" t="s">
        <v>59</v>
      </c>
      <c r="B16" s="35">
        <v>96396</v>
      </c>
      <c r="C16" s="35" t="s">
        <v>29</v>
      </c>
      <c r="D16" s="14" t="s">
        <v>36</v>
      </c>
      <c r="E16" s="31" t="s">
        <v>11</v>
      </c>
      <c r="F16" s="55">
        <f>(M2*0.25)/2</f>
        <v>7500</v>
      </c>
      <c r="G16" s="40">
        <v>102.65</v>
      </c>
      <c r="H16" s="38">
        <f t="shared" si="0"/>
        <v>127.52</v>
      </c>
      <c r="I16" s="36">
        <f t="shared" si="1"/>
        <v>769875</v>
      </c>
      <c r="J16" s="37">
        <f t="shared" si="2"/>
        <v>956400</v>
      </c>
      <c r="K16"/>
      <c r="L16"/>
      <c r="M16"/>
      <c r="N16"/>
      <c r="O16" s="5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</row>
    <row r="17" spans="1:16376" s="3" customFormat="1" ht="47.25" x14ac:dyDescent="0.25">
      <c r="A17" s="30" t="s">
        <v>60</v>
      </c>
      <c r="B17" s="35" t="s">
        <v>38</v>
      </c>
      <c r="C17" s="35" t="s">
        <v>23</v>
      </c>
      <c r="D17" s="14" t="s">
        <v>37</v>
      </c>
      <c r="E17" s="33" t="s">
        <v>10</v>
      </c>
      <c r="F17" s="55">
        <f>(M1)/2</f>
        <v>75000</v>
      </c>
      <c r="G17" s="40">
        <v>5.37</v>
      </c>
      <c r="H17" s="38">
        <f t="shared" si="0"/>
        <v>6.67</v>
      </c>
      <c r="I17" s="36">
        <f t="shared" si="1"/>
        <v>402750</v>
      </c>
      <c r="J17" s="37">
        <f t="shared" si="2"/>
        <v>500250</v>
      </c>
      <c r="K17"/>
      <c r="L17"/>
      <c r="M17"/>
      <c r="N17"/>
      <c r="O17" s="5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</row>
    <row r="18" spans="1:16376" s="3" customFormat="1" ht="34.5" customHeight="1" x14ac:dyDescent="0.25">
      <c r="A18" s="30" t="s">
        <v>61</v>
      </c>
      <c r="B18" s="35">
        <v>96402</v>
      </c>
      <c r="C18" s="35" t="s">
        <v>29</v>
      </c>
      <c r="D18" s="14" t="s">
        <v>39</v>
      </c>
      <c r="E18" s="33" t="s">
        <v>10</v>
      </c>
      <c r="F18" s="55">
        <f>(M1*2)/2</f>
        <v>150000</v>
      </c>
      <c r="G18" s="40">
        <v>2.86</v>
      </c>
      <c r="H18" s="38">
        <f t="shared" si="0"/>
        <v>3.55</v>
      </c>
      <c r="I18" s="36">
        <f t="shared" si="1"/>
        <v>429000</v>
      </c>
      <c r="J18" s="37">
        <f t="shared" si="2"/>
        <v>532500</v>
      </c>
      <c r="K18"/>
      <c r="L18"/>
      <c r="M18"/>
      <c r="N18"/>
      <c r="O18" s="5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</row>
    <row r="19" spans="1:16376" s="3" customFormat="1" ht="71.25" customHeight="1" x14ac:dyDescent="0.25">
      <c r="A19" s="45" t="s">
        <v>62</v>
      </c>
      <c r="B19" s="46" t="s">
        <v>69</v>
      </c>
      <c r="C19" s="46" t="s">
        <v>67</v>
      </c>
      <c r="D19" s="47" t="s">
        <v>70</v>
      </c>
      <c r="E19" s="48" t="s">
        <v>40</v>
      </c>
      <c r="F19" s="56">
        <f>(M1*0.05*2.5)/2</f>
        <v>9375</v>
      </c>
      <c r="G19" s="49">
        <v>321.41000000000003</v>
      </c>
      <c r="H19" s="50">
        <f t="shared" si="0"/>
        <v>399.29</v>
      </c>
      <c r="I19" s="51">
        <f t="shared" si="1"/>
        <v>3013218.75</v>
      </c>
      <c r="J19" s="52">
        <f t="shared" si="2"/>
        <v>3743343.75</v>
      </c>
      <c r="K19"/>
      <c r="L19"/>
      <c r="M19"/>
      <c r="N19"/>
      <c r="O19" s="5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</row>
    <row r="20" spans="1:16376" s="3" customFormat="1" ht="57" customHeight="1" x14ac:dyDescent="0.25">
      <c r="A20" s="45" t="s">
        <v>63</v>
      </c>
      <c r="B20" s="46" t="s">
        <v>42</v>
      </c>
      <c r="C20" s="46" t="s">
        <v>67</v>
      </c>
      <c r="D20" s="47" t="s">
        <v>41</v>
      </c>
      <c r="E20" s="48" t="s">
        <v>40</v>
      </c>
      <c r="F20" s="56">
        <f>(M1*0.06*2.5)/2</f>
        <v>11250</v>
      </c>
      <c r="G20" s="49">
        <v>360.49</v>
      </c>
      <c r="H20" s="50">
        <f t="shared" si="0"/>
        <v>447.84</v>
      </c>
      <c r="I20" s="51">
        <f t="shared" si="1"/>
        <v>4055512.5</v>
      </c>
      <c r="J20" s="52">
        <f t="shared" si="2"/>
        <v>5038200</v>
      </c>
      <c r="K20"/>
      <c r="L20"/>
      <c r="M20"/>
      <c r="N20"/>
      <c r="O20" s="5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</row>
    <row r="21" spans="1:16376" s="3" customFormat="1" ht="66" customHeight="1" x14ac:dyDescent="0.25">
      <c r="A21" s="30" t="s">
        <v>64</v>
      </c>
      <c r="B21" s="35" t="s">
        <v>49</v>
      </c>
      <c r="C21" s="35" t="s">
        <v>23</v>
      </c>
      <c r="D21" s="14" t="s">
        <v>50</v>
      </c>
      <c r="E21" s="33" t="s">
        <v>11</v>
      </c>
      <c r="F21" s="57">
        <v>1000</v>
      </c>
      <c r="G21" s="38">
        <v>250.93</v>
      </c>
      <c r="H21" s="38">
        <f t="shared" si="0"/>
        <v>311.73</v>
      </c>
      <c r="I21" s="36">
        <f t="shared" si="1"/>
        <v>250930</v>
      </c>
      <c r="J21" s="37">
        <f t="shared" si="2"/>
        <v>311730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</row>
    <row r="22" spans="1:16376" ht="32.25" customHeight="1" thickBot="1" x14ac:dyDescent="0.3">
      <c r="A22" s="67" t="s">
        <v>13</v>
      </c>
      <c r="B22" s="68"/>
      <c r="C22" s="68"/>
      <c r="D22" s="68"/>
      <c r="E22" s="68"/>
      <c r="F22" s="68"/>
      <c r="G22" s="69" t="s">
        <v>4</v>
      </c>
      <c r="H22" s="69"/>
      <c r="I22" s="43">
        <f>I6+I13</f>
        <v>11857257.26</v>
      </c>
      <c r="J22" s="44">
        <f>J6+J13</f>
        <v>14730440.140000001</v>
      </c>
    </row>
    <row r="23" spans="1:16376" ht="38.25" customHeight="1" thickBot="1" x14ac:dyDescent="0.3">
      <c r="A23" s="4"/>
      <c r="B23" s="12"/>
      <c r="C23" s="9"/>
      <c r="D23" s="9"/>
      <c r="E23" s="5"/>
      <c r="F23" s="9"/>
      <c r="G23" s="10"/>
      <c r="H23" s="10"/>
      <c r="I23" s="11"/>
      <c r="J23" s="8"/>
    </row>
    <row r="24" spans="1:16376" ht="21.75" customHeight="1" x14ac:dyDescent="0.25">
      <c r="A24" s="80" t="s">
        <v>14</v>
      </c>
      <c r="B24" s="81"/>
      <c r="C24" s="81"/>
      <c r="D24" s="81"/>
      <c r="E24" s="81" t="s">
        <v>16</v>
      </c>
      <c r="F24" s="81"/>
      <c r="G24" s="81"/>
      <c r="H24" s="81"/>
      <c r="I24" s="81"/>
      <c r="J24" s="82"/>
    </row>
    <row r="25" spans="1:16376" ht="25.5" customHeight="1" x14ac:dyDescent="0.25">
      <c r="A25" s="83" t="s">
        <v>15</v>
      </c>
      <c r="B25" s="84"/>
      <c r="C25" s="84"/>
      <c r="D25" s="84"/>
      <c r="E25" s="84" t="s">
        <v>17</v>
      </c>
      <c r="F25" s="84"/>
      <c r="G25" s="84"/>
      <c r="H25" s="84"/>
      <c r="I25" s="84"/>
      <c r="J25" s="85"/>
    </row>
    <row r="26" spans="1:16376" ht="12" customHeight="1" thickBot="1" x14ac:dyDescent="0.3">
      <c r="A26" s="6"/>
      <c r="B26" s="7"/>
      <c r="C26" s="7"/>
      <c r="D26" s="7"/>
      <c r="E26" s="86" t="s">
        <v>18</v>
      </c>
      <c r="F26" s="86"/>
      <c r="G26" s="86"/>
      <c r="H26" s="86"/>
      <c r="I26" s="86"/>
      <c r="J26" s="87"/>
    </row>
    <row r="27" spans="1:16376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60"/>
    </row>
    <row r="28" spans="1:16376" x14ac:dyDescent="0.25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6376" x14ac:dyDescent="0.25">
      <c r="A29" s="61"/>
      <c r="B29" s="62"/>
      <c r="C29" s="62"/>
      <c r="D29" s="62"/>
      <c r="E29" s="62"/>
      <c r="F29" s="62"/>
      <c r="G29" s="62"/>
      <c r="H29" s="62"/>
      <c r="I29" s="62"/>
      <c r="J29" s="63"/>
    </row>
    <row r="30" spans="1:16376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3"/>
    </row>
    <row r="31" spans="1:16376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3"/>
    </row>
    <row r="32" spans="1:16376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3"/>
    </row>
    <row r="33" spans="1:10" ht="1.5" customHeight="1" thickBot="1" x14ac:dyDescent="0.3">
      <c r="A33" s="64"/>
      <c r="B33" s="65"/>
      <c r="C33" s="65"/>
      <c r="D33" s="65"/>
      <c r="E33" s="65"/>
      <c r="F33" s="65"/>
      <c r="G33" s="65"/>
      <c r="H33" s="65"/>
      <c r="I33" s="65"/>
      <c r="J33" s="66"/>
    </row>
    <row r="36" spans="1:10" x14ac:dyDescent="0.25">
      <c r="D36" s="24"/>
      <c r="E36" s="25"/>
      <c r="F36" s="26">
        <v>150000</v>
      </c>
      <c r="G36" s="27"/>
      <c r="H36" s="24" t="s">
        <v>44</v>
      </c>
      <c r="I36" s="24"/>
    </row>
    <row r="37" spans="1:10" x14ac:dyDescent="0.25">
      <c r="D37" s="24"/>
      <c r="E37" s="25"/>
      <c r="F37" s="25"/>
      <c r="G37" s="28" t="e">
        <f>#REF!/24</f>
        <v>#REF!</v>
      </c>
      <c r="H37" s="24"/>
      <c r="I37" s="24"/>
    </row>
    <row r="38" spans="1:10" x14ac:dyDescent="0.25">
      <c r="D38" s="24"/>
      <c r="E38" s="25" t="s">
        <v>45</v>
      </c>
      <c r="F38" s="25">
        <v>500</v>
      </c>
      <c r="G38" s="24"/>
      <c r="H38" s="24"/>
      <c r="I38" s="24"/>
    </row>
    <row r="39" spans="1:10" x14ac:dyDescent="0.25">
      <c r="D39" s="24"/>
      <c r="E39" s="25"/>
      <c r="F39" s="25"/>
      <c r="G39" s="24"/>
      <c r="H39" s="24"/>
      <c r="I39" s="24"/>
    </row>
    <row r="40" spans="1:10" x14ac:dyDescent="0.25">
      <c r="D40" s="24"/>
      <c r="E40" s="25"/>
      <c r="F40" s="25"/>
      <c r="G40" s="24"/>
      <c r="H40" s="24"/>
      <c r="I40" s="24"/>
    </row>
    <row r="41" spans="1:10" x14ac:dyDescent="0.25">
      <c r="D41" s="24"/>
      <c r="E41" s="25"/>
      <c r="F41" s="25"/>
      <c r="G41" s="24"/>
      <c r="H41" s="24"/>
      <c r="I41" s="24"/>
    </row>
    <row r="42" spans="1:10" x14ac:dyDescent="0.25">
      <c r="D42" s="24"/>
      <c r="E42" s="25"/>
      <c r="F42" s="25"/>
      <c r="G42" s="24"/>
      <c r="H42" s="24"/>
      <c r="I42" s="24"/>
    </row>
    <row r="43" spans="1:10" x14ac:dyDescent="0.25">
      <c r="D43" s="24"/>
      <c r="E43" s="25"/>
      <c r="F43" s="25"/>
      <c r="G43" s="24"/>
      <c r="H43" s="24"/>
      <c r="I43" s="24"/>
    </row>
    <row r="44" spans="1:10" x14ac:dyDescent="0.25">
      <c r="D44" s="24"/>
      <c r="E44" s="25"/>
      <c r="F44" s="25"/>
      <c r="G44" s="24"/>
      <c r="H44" s="24"/>
      <c r="I44" s="24"/>
    </row>
  </sheetData>
  <mergeCells count="14">
    <mergeCell ref="A27:J33"/>
    <mergeCell ref="A22:F22"/>
    <mergeCell ref="G22:H22"/>
    <mergeCell ref="A1:J1"/>
    <mergeCell ref="A2:J2"/>
    <mergeCell ref="A3:J3"/>
    <mergeCell ref="A4:H4"/>
    <mergeCell ref="I4:J4"/>
    <mergeCell ref="A24:D24"/>
    <mergeCell ref="E24:J24"/>
    <mergeCell ref="A25:D25"/>
    <mergeCell ref="E25:J25"/>
    <mergeCell ref="E26:J26"/>
    <mergeCell ref="D6:E6"/>
  </mergeCells>
  <pageMargins left="0.51181102362204722" right="0.51181102362204722" top="0.78740157480314965" bottom="0.78740157480314965" header="0.31496062992125984" footer="0.31496062992125984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E5:E9"/>
  <sheetViews>
    <sheetView workbookViewId="0">
      <selection activeCell="E21" sqref="E21"/>
    </sheetView>
  </sheetViews>
  <sheetFormatPr defaultRowHeight="15" x14ac:dyDescent="0.25"/>
  <sheetData>
    <row r="5" spans="5:5" x14ac:dyDescent="0.25">
      <c r="E5">
        <f>14.5*2.8*2</f>
        <v>81.199999999999989</v>
      </c>
    </row>
    <row r="6" spans="5:5" x14ac:dyDescent="0.25">
      <c r="E6">
        <f>5*2.8*2</f>
        <v>28</v>
      </c>
    </row>
    <row r="7" spans="5:5" x14ac:dyDescent="0.25">
      <c r="E7">
        <f>5.5*2.8*6</f>
        <v>92.399999999999991</v>
      </c>
    </row>
    <row r="8" spans="5:5" x14ac:dyDescent="0.25">
      <c r="E8">
        <f>4*2.8*4</f>
        <v>44.8</v>
      </c>
    </row>
    <row r="9" spans="5:5" x14ac:dyDescent="0.25">
      <c r="E9">
        <f>2*2.8*4</f>
        <v>22.4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RECAP 2019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Cristiane Alves da Cunha</cp:lastModifiedBy>
  <cp:lastPrinted>2019-01-22T11:23:55Z</cp:lastPrinted>
  <dcterms:created xsi:type="dcterms:W3CDTF">2014-08-19T17:25:34Z</dcterms:created>
  <dcterms:modified xsi:type="dcterms:W3CDTF">2019-01-22T11:23:58Z</dcterms:modified>
</cp:coreProperties>
</file>